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7155"/>
  </bookViews>
  <sheets>
    <sheet name="planilha orçamentária" sheetId="1" r:id="rId1"/>
    <sheet name="cronograma" sheetId="4" r:id="rId2"/>
    <sheet name="BDI" sheetId="6" r:id="rId3"/>
  </sheets>
  <definedNames>
    <definedName name="_xlnm.Print_Area" localSheetId="2">BDI!$A$1:$N$33</definedName>
    <definedName name="_xlnm.Print_Area" localSheetId="0">'planilha orçamentária'!$A$1:$I$46</definedName>
  </definedNames>
  <calcPr calcId="124519"/>
</workbook>
</file>

<file path=xl/calcChain.xml><?xml version="1.0" encoding="utf-8"?>
<calcChain xmlns="http://schemas.openxmlformats.org/spreadsheetml/2006/main">
  <c r="F26" i="1"/>
  <c r="F40"/>
  <c r="F28"/>
  <c r="F32"/>
  <c r="I32" s="1"/>
  <c r="F31"/>
  <c r="F33"/>
  <c r="I33" s="1"/>
  <c r="H33"/>
  <c r="I11"/>
  <c r="F15"/>
  <c r="H15"/>
  <c r="F30"/>
  <c r="F29" s="1"/>
  <c r="H32"/>
  <c r="H31"/>
  <c r="I31" s="1"/>
  <c r="H30"/>
  <c r="H29"/>
  <c r="H28"/>
  <c r="F22"/>
  <c r="F25"/>
  <c r="F16"/>
  <c r="F21"/>
  <c r="F20" s="1"/>
  <c r="I36"/>
  <c r="H36"/>
  <c r="I15" l="1"/>
  <c r="I30"/>
  <c r="I28"/>
  <c r="I29"/>
  <c r="H20"/>
  <c r="I20" s="1"/>
  <c r="I27" l="1"/>
  <c r="I25"/>
  <c r="H25"/>
  <c r="H21"/>
  <c r="H23"/>
  <c r="I23" s="1"/>
  <c r="H22"/>
  <c r="I26"/>
  <c r="H26"/>
  <c r="I21" l="1"/>
  <c r="I37"/>
  <c r="I35" s="1"/>
  <c r="H37"/>
  <c r="H35"/>
  <c r="H14"/>
  <c r="I14" s="1"/>
  <c r="H16"/>
  <c r="I16" s="1"/>
  <c r="H13"/>
  <c r="I13" s="1"/>
  <c r="H13" i="4" l="1"/>
  <c r="H18" i="1"/>
  <c r="I22"/>
  <c r="H24"/>
  <c r="H39"/>
  <c r="H40"/>
  <c r="I40" s="1"/>
  <c r="I39" s="1"/>
  <c r="H12"/>
  <c r="I12" s="1"/>
  <c r="G13" i="4" l="1"/>
  <c r="I41" i="1"/>
  <c r="H14" i="4"/>
  <c r="I24" i="1"/>
  <c r="I19" s="1"/>
  <c r="I18" s="1"/>
  <c r="C11" i="4"/>
  <c r="D12" l="1"/>
  <c r="D15" s="1"/>
  <c r="F12"/>
  <c r="F15" s="1"/>
  <c r="G12"/>
  <c r="G15" s="1"/>
  <c r="E12"/>
  <c r="E15" s="1"/>
  <c r="I42" i="1"/>
  <c r="H15" i="4"/>
  <c r="C15" l="1"/>
  <c r="G17" l="1"/>
  <c r="C17"/>
  <c r="E17"/>
  <c r="F17"/>
  <c r="H17"/>
  <c r="D17"/>
  <c r="C19"/>
  <c r="C16" s="1"/>
  <c r="H18" l="1"/>
  <c r="G18"/>
  <c r="D18"/>
  <c r="C18"/>
  <c r="E18"/>
  <c r="G16"/>
  <c r="F16"/>
  <c r="H16"/>
  <c r="D16"/>
  <c r="E16"/>
  <c r="F18"/>
</calcChain>
</file>

<file path=xl/sharedStrings.xml><?xml version="1.0" encoding="utf-8"?>
<sst xmlns="http://schemas.openxmlformats.org/spreadsheetml/2006/main" count="134" uniqueCount="87">
  <si>
    <t>ITEM</t>
  </si>
  <si>
    <t>DESCRIÇÃO DO SERVIÇO</t>
  </si>
  <si>
    <t>UNID.</t>
  </si>
  <si>
    <t>QUANT.</t>
  </si>
  <si>
    <t>PREÇ.UNIT.</t>
  </si>
  <si>
    <t>1.1</t>
  </si>
  <si>
    <t>M2</t>
  </si>
  <si>
    <t>1.2</t>
  </si>
  <si>
    <t>1.3</t>
  </si>
  <si>
    <t>1.4</t>
  </si>
  <si>
    <t>M3</t>
  </si>
  <si>
    <t>2.1</t>
  </si>
  <si>
    <t>2.2</t>
  </si>
  <si>
    <t>Limpeza</t>
  </si>
  <si>
    <t>TOTAL (R$)</t>
  </si>
  <si>
    <t>ASSINATURAS:</t>
  </si>
  <si>
    <t>PLANILHA ORÇAMENTÁRIA</t>
  </si>
  <si>
    <r>
      <rPr>
        <b/>
        <sz val="10"/>
        <color rgb="FF003366"/>
        <rFont val="Arial"/>
        <family val="2"/>
      </rPr>
      <t>PROJETO :</t>
    </r>
  </si>
  <si>
    <r>
      <rPr>
        <b/>
        <sz val="10"/>
        <color rgb="FF003366"/>
        <rFont val="Arial"/>
        <family val="2"/>
      </rPr>
      <t>LOCAL:</t>
    </r>
  </si>
  <si>
    <t>CRONOGRAMA</t>
  </si>
  <si>
    <t>MÊS 01</t>
  </si>
  <si>
    <t>MÊS 02</t>
  </si>
  <si>
    <t>LIMPEZA</t>
  </si>
  <si>
    <t>TOTAL NO MÊS (R$)</t>
  </si>
  <si>
    <t>PERCENTUAL NO MÊS (%)</t>
  </si>
  <si>
    <t>ACUMULADO NO MÊS (R$)</t>
  </si>
  <si>
    <t>PERCENTUAL ACUMULADO NO MÊS (%)</t>
  </si>
  <si>
    <t>SUB-TOTAL</t>
  </si>
  <si>
    <t>CÓDIGO</t>
  </si>
  <si>
    <t>FONTE</t>
  </si>
  <si>
    <t xml:space="preserve">PREFEITURA MUNICIPAL DE RIBEIRÃO DO PINHAL
- ESTADO DO PARANÁ -
</t>
  </si>
  <si>
    <t>PREFEITURA MUNICIPAL DE RIBEIRÃO DO PINHAL
- ESTADO DO PARANÁ -</t>
  </si>
  <si>
    <t>PREÇ.C/BDI</t>
  </si>
  <si>
    <t>BDI (%):</t>
  </si>
  <si>
    <t>SINAPI-I</t>
  </si>
  <si>
    <t>PLACA DE OBRA (PARA CONSTRUCAO CIVIL) EM CHAPA GALVANIZADA *N. 22*, ADESIVADA, DE *2,4 X 1,2* M (SEM POSTES PARA FIXACAO)</t>
  </si>
  <si>
    <t>DER</t>
  </si>
  <si>
    <t>Suporte de madeira 3"x3" p/ placa sinalização, h=3,00m</t>
  </si>
  <si>
    <t>UD</t>
  </si>
  <si>
    <t>SINAPI</t>
  </si>
  <si>
    <t>REVITALIZAÇÃO URBANA</t>
  </si>
  <si>
    <t>AVENIDA SILVEIRA PINTO, DIVERSOS LOTES, DIVERSAS QUADRAS</t>
  </si>
  <si>
    <t>CALÇAMENTO</t>
  </si>
  <si>
    <t>SERVIÇOS PRELIMINARES</t>
  </si>
  <si>
    <t>LIMPEZA DE CONTRAPISO COM VASSOURA A SECO. AF_04/2019</t>
  </si>
  <si>
    <t>ARBORIZAÇÃO</t>
  </si>
  <si>
    <t>3.1</t>
  </si>
  <si>
    <t>Meio fio de concreto tipo 3 (pré-moldado) - fincadinha</t>
  </si>
  <si>
    <t>M</t>
  </si>
  <si>
    <t>PLANTIO DE ÁRVORE ORNAMENTAL COM ALTURA DE MUDA MAIOR QUE 2,00 M E MENOR OU IGUAL A 4,00 M. AF_05/2018</t>
  </si>
  <si>
    <t>MÊS 03</t>
  </si>
  <si>
    <t>MÊS 04</t>
  </si>
  <si>
    <t>MÊS 05</t>
  </si>
  <si>
    <t>MÊS 06</t>
  </si>
  <si>
    <t>GUIA (MEIO-FIO) CONCRETO, MOLDADA IN LOCO EM TRECHO RETO COM EXTRUSORA, 15 CM BASE X 30 CM ALTURA. AF_06/2016</t>
  </si>
  <si>
    <t>GUIA (MEIO-FIO) CONCRETO, MOLDADA IN LOCO EM TRECHO CURVO COM EXTRUSORA, 15 CM BASE X 30 CM ALTURA. AF_06/2016</t>
  </si>
  <si>
    <t>REGULARIZAÇÃO E COMPACTAÇÃO DE SUBLEITO DE SOLO PREDOMINANTEMENTE ARGILOSO. AF_11/2019</t>
  </si>
  <si>
    <t>RECOMPOSIÇÃO DE REVESTIMENTO EM CONCRETO ASFÁLTICO (AQUISIÇÃO EM USINA), PARA O FECHAMENTO DE VALAS - INCLUSO DEMOLIÇÃO DO PAVIMENTO. AF_12/2020</t>
  </si>
  <si>
    <t>REF.: SINAPI 11-2023         DER 09-2023 ORSE 10-2023</t>
  </si>
  <si>
    <t>ORSE</t>
  </si>
  <si>
    <t>Demolição de meio-fio granítico ou pre-moldado</t>
  </si>
  <si>
    <t>4.1</t>
  </si>
  <si>
    <t>Aterro com argila</t>
  </si>
  <si>
    <t>3.2</t>
  </si>
  <si>
    <t>Destocamento árvores diam. &gt; 30cm</t>
  </si>
  <si>
    <t>Pavimentação em bloco de concreto vibroprensado, intertravado, cor natural, 10x20cm, e=6cm, 46un/m2, NBR9781, Fck(min)=35MPa, sob coxim areia grossa compactada c/ placa vibratória, e(comp.)=6cm, rejuntado c/ areia fina.</t>
  </si>
  <si>
    <t>2.1.1</t>
  </si>
  <si>
    <t>2.1.2</t>
  </si>
  <si>
    <t>2.1.3</t>
  </si>
  <si>
    <t>2.1.4</t>
  </si>
  <si>
    <t>2.1.5</t>
  </si>
  <si>
    <t>2.1.6</t>
  </si>
  <si>
    <t>2.1.7</t>
  </si>
  <si>
    <t>RUA DES. ANTÔNIO F.F. DA COSTA - ENTRE A AV. SILVEIRA PIN TO E RUA SYNÉSIO A. BORGES</t>
  </si>
  <si>
    <t>2.2.1</t>
  </si>
  <si>
    <t>2.2.2</t>
  </si>
  <si>
    <t>2.2.3</t>
  </si>
  <si>
    <t>2.2.4</t>
  </si>
  <si>
    <t>2.2.5</t>
  </si>
  <si>
    <t>1.5</t>
  </si>
  <si>
    <t>T</t>
  </si>
  <si>
    <t>Meio fio de concreto tipo 3 (pré-moldado) - acabamento travessia elevada existente</t>
  </si>
  <si>
    <t>GUIA (MEIO-FIO) CONCRETO, MOLDADA IN LOCO EM TRECHO RETO COM EXTRUSORA, 13 CM BASE X 22 CM ALTURA. AF_06/2016</t>
  </si>
  <si>
    <t>AVENIDA SILVEIRA PINTO - RUA DES. ANTÔNIO F.F. DA COSTA; DIVERSOS LOTES, DIVERSAS QUADRAS</t>
  </si>
  <si>
    <t>CANTEIROS CENTRAIS - AVENIDA SILVEIRA PINTO; ENTRE RUAS JOÃO F. MELO E FRANCISCO E. PROENÇA</t>
  </si>
  <si>
    <t>REMOÇÃO DE PISO DE BLOCO INTERTRAVADO OU DE PEDRA PORTUGUESA, DE FORMA MANUAL, SEM REAPROVEITAMENTO. AF_09/2023</t>
  </si>
  <si>
    <t>Comercial - caminhão carroceria (TRANSPORTE DO PÂVER EXISTENTE REMOVIDO)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</si>
</sst>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rgb="FF003366"/>
      <name val="Arial"/>
      <family val="2"/>
    </font>
    <font>
      <b/>
      <sz val="10"/>
      <name val="Arial"/>
      <family val="2"/>
    </font>
    <font>
      <b/>
      <sz val="10"/>
      <color rgb="FF003366"/>
      <name val="Arial"/>
      <family val="2"/>
    </font>
    <font>
      <sz val="11"/>
      <color theme="1"/>
      <name val="Calibri"/>
      <family val="2"/>
      <scheme val="minor"/>
    </font>
    <font>
      <sz val="16"/>
      <color rgb="FF333399"/>
      <name val="Arial Black"/>
      <family val="2"/>
    </font>
    <font>
      <sz val="20"/>
      <color rgb="FF333399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4">
    <xf numFmtId="0" fontId="0" fillId="0" borderId="0" xfId="0"/>
    <xf numFmtId="4" fontId="2" fillId="0" borderId="1" xfId="1" applyNumberFormat="1" applyFont="1" applyBorder="1" applyAlignment="1" applyProtection="1"/>
    <xf numFmtId="4" fontId="3" fillId="0" borderId="1" xfId="1" applyNumberFormat="1" applyFont="1" applyBorder="1" applyAlignment="1" applyProtection="1">
      <alignment horizontal="right" vertical="center"/>
    </xf>
    <xf numFmtId="0" fontId="2" fillId="2" borderId="1" xfId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 vertical="top"/>
      <protection locked="0"/>
    </xf>
    <xf numFmtId="0" fontId="2" fillId="2" borderId="1" xfId="1" applyFont="1" applyFill="1" applyBorder="1" applyAlignment="1" applyProtection="1">
      <alignment horizontal="justify" vertical="top" wrapText="1"/>
      <protection locked="0"/>
    </xf>
    <xf numFmtId="4" fontId="2" fillId="2" borderId="1" xfId="1" applyNumberFormat="1" applyFont="1" applyFill="1" applyBorder="1" applyAlignment="1" applyProtection="1"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 applyProtection="1">
      <alignment horizontal="right" vertical="center"/>
      <protection locked="0"/>
    </xf>
    <xf numFmtId="0" fontId="0" fillId="0" borderId="4" xfId="0" applyBorder="1"/>
    <xf numFmtId="0" fontId="2" fillId="2" borderId="4" xfId="1" applyFont="1" applyFill="1" applyBorder="1" applyAlignment="1" applyProtection="1">
      <alignment horizontal="justify" vertical="top" wrapText="1"/>
      <protection locked="0"/>
    </xf>
    <xf numFmtId="0" fontId="7" fillId="3" borderId="4" xfId="0" applyFont="1" applyFill="1" applyBorder="1" applyAlignment="1">
      <alignment vertical="top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justify" vertical="top" wrapText="1"/>
      <protection locked="0"/>
    </xf>
    <xf numFmtId="0" fontId="3" fillId="2" borderId="1" xfId="1" applyFont="1" applyFill="1" applyBorder="1" applyAlignment="1" applyProtection="1">
      <alignment horizontal="justify" vertical="top" wrapText="1"/>
      <protection locked="0"/>
    </xf>
    <xf numFmtId="0" fontId="2" fillId="2" borderId="9" xfId="1" applyFont="1" applyFill="1" applyBorder="1" applyAlignment="1" applyProtection="1">
      <alignment horizontal="justify" vertical="top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wrapText="1"/>
    </xf>
    <xf numFmtId="0" fontId="2" fillId="2" borderId="1" xfId="1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wrapText="1"/>
    </xf>
    <xf numFmtId="4" fontId="5" fillId="0" borderId="4" xfId="0" applyNumberFormat="1" applyFont="1" applyBorder="1" applyAlignment="1">
      <alignment wrapText="1"/>
    </xf>
    <xf numFmtId="10" fontId="5" fillId="0" borderId="4" xfId="6" applyNumberFormat="1" applyFont="1" applyBorder="1" applyAlignment="1">
      <alignment wrapText="1"/>
    </xf>
    <xf numFmtId="0" fontId="5" fillId="0" borderId="10" xfId="0" applyFont="1" applyBorder="1" applyAlignment="1">
      <alignment horizontal="right" wrapText="1"/>
    </xf>
    <xf numFmtId="0" fontId="3" fillId="2" borderId="1" xfId="1" applyFont="1" applyFill="1" applyBorder="1" applyAlignment="1" applyProtection="1">
      <alignment horizontal="left" vertical="top"/>
      <protection locked="0"/>
    </xf>
    <xf numFmtId="0" fontId="3" fillId="2" borderId="1" xfId="1" applyFont="1" applyFill="1" applyBorder="1" applyAlignment="1" applyProtection="1">
      <alignment horizontal="center"/>
      <protection locked="0"/>
    </xf>
    <xf numFmtId="4" fontId="3" fillId="2" borderId="1" xfId="1" applyNumberFormat="1" applyFont="1" applyFill="1" applyBorder="1" applyAlignment="1" applyProtection="1">
      <protection locked="0"/>
    </xf>
    <xf numFmtId="0" fontId="5" fillId="0" borderId="0" xfId="0" applyFont="1"/>
    <xf numFmtId="44" fontId="3" fillId="0" borderId="1" xfId="7" applyFont="1" applyBorder="1" applyAlignment="1" applyProtection="1"/>
    <xf numFmtId="44" fontId="0" fillId="0" borderId="4" xfId="7" applyFont="1" applyBorder="1" applyAlignment="1">
      <alignment wrapText="1"/>
    </xf>
    <xf numFmtId="44" fontId="5" fillId="0" borderId="4" xfId="7" applyFont="1" applyBorder="1" applyAlignment="1">
      <alignment wrapText="1"/>
    </xf>
    <xf numFmtId="0" fontId="5" fillId="0" borderId="4" xfId="0" applyFont="1" applyBorder="1" applyAlignment="1">
      <alignment horizontal="right" wrapText="1"/>
    </xf>
    <xf numFmtId="0" fontId="7" fillId="0" borderId="0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>
      <alignment wrapText="1"/>
    </xf>
    <xf numFmtId="0" fontId="7" fillId="0" borderId="7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right"/>
      <protection locked="0"/>
    </xf>
    <xf numFmtId="2" fontId="2" fillId="2" borderId="1" xfId="1" applyNumberFormat="1" applyFont="1" applyFill="1" applyBorder="1" applyAlignment="1" applyProtection="1">
      <alignment horizontal="right"/>
      <protection locked="0"/>
    </xf>
    <xf numFmtId="0" fontId="3" fillId="2" borderId="22" xfId="1" applyFont="1" applyFill="1" applyBorder="1" applyAlignment="1" applyProtection="1">
      <alignment horizontal="justify" vertical="top" wrapText="1"/>
      <protection locked="0"/>
    </xf>
    <xf numFmtId="0" fontId="0" fillId="5" borderId="0" xfId="0" applyFill="1"/>
    <xf numFmtId="0" fontId="0" fillId="0" borderId="0" xfId="0" applyFont="1"/>
    <xf numFmtId="0" fontId="0" fillId="0" borderId="4" xfId="0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right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4" fontId="5" fillId="4" borderId="4" xfId="7" applyFont="1" applyFill="1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</cellXfs>
  <cellStyles count="8">
    <cellStyle name="Moeda" xfId="7" builtinId="4"/>
    <cellStyle name="Normal" xfId="0" builtinId="0"/>
    <cellStyle name="Normal 2" xfId="1"/>
    <cellStyle name="Porcentagem" xfId="6" builtinId="5"/>
    <cellStyle name="Porcentagem 2" xfId="3"/>
    <cellStyle name="Porcentagem 3" xfId="2"/>
    <cellStyle name="Vírgula 2" xfId="5"/>
    <cellStyle name="Vírgula 3" xfId="4"/>
  </cellStyles>
  <dxfs count="0"/>
  <tableStyles count="1" defaultTableStyle="TableStyleMedium2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2009775</xdr:colOff>
      <xdr:row>42</xdr:row>
      <xdr:rowOff>95250</xdr:rowOff>
    </xdr:from>
    <xdr:to>
      <xdr:col>3</xdr:col>
      <xdr:colOff>4057650</xdr:colOff>
      <xdr:row>45</xdr:row>
      <xdr:rowOff>104775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33675" y="39947850"/>
          <a:ext cx="20478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2</xdr:col>
      <xdr:colOff>23241</xdr:colOff>
      <xdr:row>4</xdr:row>
      <xdr:rowOff>123825</xdr:rowOff>
    </xdr:to>
    <xdr:pic>
      <xdr:nvPicPr>
        <xdr:cNvPr id="11" name="Imagem 10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28575"/>
          <a:ext cx="1042416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20</xdr:row>
      <xdr:rowOff>19050</xdr:rowOff>
    </xdr:from>
    <xdr:to>
      <xdr:col>4</xdr:col>
      <xdr:colOff>295275</xdr:colOff>
      <xdr:row>23</xdr:row>
      <xdr:rowOff>28575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71850" y="3857625"/>
          <a:ext cx="20478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47625</xdr:rowOff>
    </xdr:from>
    <xdr:to>
      <xdr:col>1</xdr:col>
      <xdr:colOff>356616</xdr:colOff>
      <xdr:row>4</xdr:row>
      <xdr:rowOff>142875</xdr:rowOff>
    </xdr:to>
    <xdr:pic>
      <xdr:nvPicPr>
        <xdr:cNvPr id="3" name="Imagem 2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47625"/>
          <a:ext cx="1042416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133350</xdr:rowOff>
    </xdr:from>
    <xdr:to>
      <xdr:col>13</xdr:col>
      <xdr:colOff>476251</xdr:colOff>
      <xdr:row>32</xdr:row>
      <xdr:rowOff>161925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" y="133350"/>
          <a:ext cx="8401050" cy="6124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showZeros="0" tabSelected="1" workbookViewId="0">
      <selection activeCell="J36" sqref="J36"/>
    </sheetView>
  </sheetViews>
  <sheetFormatPr defaultRowHeight="15"/>
  <cols>
    <col min="1" max="1" width="4.42578125" customWidth="1"/>
    <col min="2" max="3" width="10.85546875" customWidth="1"/>
    <col min="4" max="4" width="96.140625" customWidth="1"/>
    <col min="6" max="6" width="7.42578125" bestFit="1" customWidth="1"/>
    <col min="7" max="7" width="9.140625" style="42"/>
    <col min="9" max="9" width="15.28515625" bestFit="1" customWidth="1"/>
  </cols>
  <sheetData>
    <row r="1" spans="1:9" ht="15" customHeight="1">
      <c r="A1" s="45" t="s">
        <v>30</v>
      </c>
      <c r="B1" s="46"/>
      <c r="C1" s="46"/>
      <c r="D1" s="46"/>
      <c r="E1" s="46"/>
      <c r="F1" s="46"/>
      <c r="G1" s="46"/>
      <c r="H1" s="46"/>
      <c r="I1" s="47"/>
    </row>
    <row r="2" spans="1:9">
      <c r="A2" s="48"/>
      <c r="B2" s="49"/>
      <c r="C2" s="49"/>
      <c r="D2" s="49"/>
      <c r="E2" s="49"/>
      <c r="F2" s="49"/>
      <c r="G2" s="49"/>
      <c r="H2" s="49"/>
      <c r="I2" s="50"/>
    </row>
    <row r="3" spans="1:9">
      <c r="A3" s="48"/>
      <c r="B3" s="49"/>
      <c r="C3" s="49"/>
      <c r="D3" s="49"/>
      <c r="E3" s="49"/>
      <c r="F3" s="49"/>
      <c r="G3" s="49"/>
      <c r="H3" s="49"/>
      <c r="I3" s="50"/>
    </row>
    <row r="4" spans="1:9">
      <c r="A4" s="48"/>
      <c r="B4" s="49"/>
      <c r="C4" s="49"/>
      <c r="D4" s="49"/>
      <c r="E4" s="49"/>
      <c r="F4" s="49"/>
      <c r="G4" s="49"/>
      <c r="H4" s="49"/>
      <c r="I4" s="50"/>
    </row>
    <row r="5" spans="1:9" ht="15.75" customHeight="1">
      <c r="A5" s="51"/>
      <c r="B5" s="52"/>
      <c r="C5" s="52"/>
      <c r="D5" s="52"/>
      <c r="E5" s="52"/>
      <c r="F5" s="52"/>
      <c r="G5" s="52"/>
      <c r="H5" s="52"/>
      <c r="I5" s="53"/>
    </row>
    <row r="6" spans="1:9" ht="17.25" customHeight="1" thickBot="1">
      <c r="A6" s="54" t="s">
        <v>16</v>
      </c>
      <c r="B6" s="55"/>
      <c r="C6" s="55"/>
      <c r="D6" s="55"/>
      <c r="E6" s="55"/>
      <c r="F6" s="55"/>
      <c r="G6" s="55"/>
      <c r="H6" s="55"/>
      <c r="I6" s="55"/>
    </row>
    <row r="7" spans="1:9" ht="15" customHeight="1">
      <c r="A7" s="57" t="s">
        <v>17</v>
      </c>
      <c r="B7" s="58"/>
      <c r="C7" s="58"/>
      <c r="D7" s="38" t="s">
        <v>40</v>
      </c>
      <c r="E7" s="61" t="s">
        <v>58</v>
      </c>
      <c r="F7" s="61"/>
      <c r="G7" s="61"/>
      <c r="H7" s="63" t="s">
        <v>33</v>
      </c>
      <c r="I7" s="65">
        <v>22.88</v>
      </c>
    </row>
    <row r="8" spans="1:9" ht="15" customHeight="1">
      <c r="A8" s="59" t="s">
        <v>18</v>
      </c>
      <c r="B8" s="60"/>
      <c r="C8" s="60"/>
      <c r="D8" s="34" t="s">
        <v>83</v>
      </c>
      <c r="E8" s="62"/>
      <c r="F8" s="62"/>
      <c r="G8" s="62"/>
      <c r="H8" s="64"/>
      <c r="I8" s="66"/>
    </row>
    <row r="9" spans="1:9">
      <c r="A9" s="8" t="s">
        <v>0</v>
      </c>
      <c r="B9" s="8" t="s">
        <v>28</v>
      </c>
      <c r="C9" s="8" t="s">
        <v>29</v>
      </c>
      <c r="D9" s="7" t="s">
        <v>1</v>
      </c>
      <c r="E9" s="8" t="s">
        <v>2</v>
      </c>
      <c r="F9" s="9" t="s">
        <v>3</v>
      </c>
      <c r="G9" s="9" t="s">
        <v>4</v>
      </c>
      <c r="H9" s="9" t="s">
        <v>32</v>
      </c>
      <c r="I9" s="2" t="s">
        <v>27</v>
      </c>
    </row>
    <row r="10" spans="1:9">
      <c r="A10" s="4"/>
      <c r="B10" s="4"/>
      <c r="C10" s="4"/>
      <c r="D10" s="5"/>
      <c r="E10" s="3"/>
      <c r="F10" s="6"/>
      <c r="G10" s="6"/>
      <c r="H10" s="6"/>
      <c r="I10" s="1">
        <v>0</v>
      </c>
    </row>
    <row r="11" spans="1:9" s="29" customFormat="1">
      <c r="A11" s="26">
        <v>1</v>
      </c>
      <c r="B11" s="26"/>
      <c r="C11" s="26"/>
      <c r="D11" s="15" t="s">
        <v>43</v>
      </c>
      <c r="E11" s="27"/>
      <c r="F11" s="28"/>
      <c r="G11" s="28"/>
      <c r="H11" s="28"/>
      <c r="I11" s="30">
        <f>SUM(I12:I16)</f>
        <v>78390.62</v>
      </c>
    </row>
    <row r="12" spans="1:9" ht="22.5">
      <c r="A12" s="4" t="s">
        <v>5</v>
      </c>
      <c r="B12" s="35">
        <v>4813</v>
      </c>
      <c r="C12" s="35" t="s">
        <v>34</v>
      </c>
      <c r="D12" s="5" t="s">
        <v>35</v>
      </c>
      <c r="E12" s="3" t="s">
        <v>6</v>
      </c>
      <c r="F12" s="39">
        <v>2.88</v>
      </c>
      <c r="G12" s="40">
        <v>250</v>
      </c>
      <c r="H12" s="6">
        <f>ROUND(G12*(1+$I$7%),2)</f>
        <v>307.2</v>
      </c>
      <c r="I12" s="1">
        <f>ROUND(F12*H12,2)</f>
        <v>884.74</v>
      </c>
    </row>
    <row r="13" spans="1:9">
      <c r="A13" s="4" t="s">
        <v>7</v>
      </c>
      <c r="B13" s="35">
        <v>821000</v>
      </c>
      <c r="C13" s="35" t="s">
        <v>36</v>
      </c>
      <c r="D13" s="5" t="s">
        <v>37</v>
      </c>
      <c r="E13" s="3" t="s">
        <v>38</v>
      </c>
      <c r="F13" s="40">
        <v>1</v>
      </c>
      <c r="G13" s="39">
        <v>168.18</v>
      </c>
      <c r="H13" s="6">
        <f>ROUND(G13*(1+$I$7%),2)</f>
        <v>206.66</v>
      </c>
      <c r="I13" s="1">
        <f>ROUND(F13*H13,2)</f>
        <v>206.66</v>
      </c>
    </row>
    <row r="14" spans="1:9" ht="22.5">
      <c r="A14" s="4" t="s">
        <v>8</v>
      </c>
      <c r="B14" s="35">
        <v>97635</v>
      </c>
      <c r="C14" s="35" t="s">
        <v>39</v>
      </c>
      <c r="D14" s="5" t="s">
        <v>85</v>
      </c>
      <c r="E14" s="3" t="s">
        <v>6</v>
      </c>
      <c r="F14" s="40">
        <v>1917.16</v>
      </c>
      <c r="G14" s="39">
        <v>19.91</v>
      </c>
      <c r="H14" s="6">
        <f t="shared" ref="H14:H16" si="0">ROUND(G14*(1+$I$7%),2)</f>
        <v>24.47</v>
      </c>
      <c r="I14" s="1">
        <f t="shared" ref="I14:I16" si="1">ROUND(F14*H14,2)</f>
        <v>46912.91</v>
      </c>
    </row>
    <row r="15" spans="1:9">
      <c r="A15" s="4" t="s">
        <v>9</v>
      </c>
      <c r="B15" s="35">
        <v>972200</v>
      </c>
      <c r="C15" s="35" t="s">
        <v>36</v>
      </c>
      <c r="D15" s="5" t="s">
        <v>86</v>
      </c>
      <c r="E15" s="3" t="s">
        <v>80</v>
      </c>
      <c r="F15" s="40">
        <f>F14*0.06*2.4</f>
        <v>276.07103999999998</v>
      </c>
      <c r="G15" s="39">
        <v>1.55</v>
      </c>
      <c r="H15" s="6">
        <f t="shared" ref="H15" si="2">ROUND(G15*(1+$I$7%),2)</f>
        <v>1.9</v>
      </c>
      <c r="I15" s="1">
        <f t="shared" ref="I15" si="3">ROUND(F15*H15,2)</f>
        <v>524.53</v>
      </c>
    </row>
    <row r="16" spans="1:9">
      <c r="A16" s="4" t="s">
        <v>79</v>
      </c>
      <c r="B16" s="35">
        <v>21</v>
      </c>
      <c r="C16" s="35" t="s">
        <v>59</v>
      </c>
      <c r="D16" s="5" t="s">
        <v>60</v>
      </c>
      <c r="E16" s="3" t="s">
        <v>48</v>
      </c>
      <c r="F16" s="40">
        <f>2520+81.2</f>
        <v>2601.1999999999998</v>
      </c>
      <c r="G16" s="39">
        <v>9.34</v>
      </c>
      <c r="H16" s="6">
        <f t="shared" si="0"/>
        <v>11.48</v>
      </c>
      <c r="I16" s="1">
        <f t="shared" si="1"/>
        <v>29861.78</v>
      </c>
    </row>
    <row r="17" spans="1:9">
      <c r="A17" s="4"/>
      <c r="B17" s="35"/>
      <c r="C17" s="35"/>
      <c r="D17" s="5"/>
      <c r="E17" s="3"/>
      <c r="F17" s="3"/>
      <c r="G17" s="3"/>
      <c r="H17" s="6"/>
      <c r="I17" s="1"/>
    </row>
    <row r="18" spans="1:9" s="29" customFormat="1">
      <c r="A18" s="26">
        <v>2</v>
      </c>
      <c r="B18" s="36"/>
      <c r="C18" s="36"/>
      <c r="D18" s="15" t="s">
        <v>42</v>
      </c>
      <c r="E18" s="27"/>
      <c r="F18" s="27"/>
      <c r="G18" s="27"/>
      <c r="H18" s="6">
        <f t="shared" ref="H18:H26" si="4">ROUND(G18*(1+$I$7%),2)</f>
        <v>0</v>
      </c>
      <c r="I18" s="30">
        <f>I19+I27</f>
        <v>657319.15</v>
      </c>
    </row>
    <row r="19" spans="1:9" s="29" customFormat="1">
      <c r="A19" s="26" t="s">
        <v>11</v>
      </c>
      <c r="B19" s="36"/>
      <c r="C19" s="36"/>
      <c r="D19" s="15" t="s">
        <v>84</v>
      </c>
      <c r="E19" s="27"/>
      <c r="F19" s="27"/>
      <c r="G19" s="27"/>
      <c r="H19" s="6"/>
      <c r="I19" s="30">
        <f>SUM(I20:I26)</f>
        <v>565181.94000000006</v>
      </c>
    </row>
    <row r="20" spans="1:9" s="43" customFormat="1">
      <c r="A20" s="4" t="s">
        <v>66</v>
      </c>
      <c r="B20" s="35">
        <v>9882</v>
      </c>
      <c r="C20" s="35" t="s">
        <v>59</v>
      </c>
      <c r="D20" s="5" t="s">
        <v>62</v>
      </c>
      <c r="E20" s="3" t="s">
        <v>10</v>
      </c>
      <c r="F20" s="39">
        <f>0.2*F21</f>
        <v>534.66000000000008</v>
      </c>
      <c r="G20" s="39">
        <v>59.35</v>
      </c>
      <c r="H20" s="6">
        <f t="shared" ref="H20" si="5">ROUND(G20*(1+$I$7%),2)</f>
        <v>72.930000000000007</v>
      </c>
      <c r="I20" s="1">
        <f>ROUND(F20*H20,2)</f>
        <v>38992.75</v>
      </c>
    </row>
    <row r="21" spans="1:9" s="29" customFormat="1">
      <c r="A21" s="4" t="s">
        <v>67</v>
      </c>
      <c r="B21" s="35">
        <v>100576</v>
      </c>
      <c r="C21" s="35" t="s">
        <v>39</v>
      </c>
      <c r="D21" s="5" t="s">
        <v>56</v>
      </c>
      <c r="E21" s="3" t="s">
        <v>6</v>
      </c>
      <c r="F21" s="40">
        <f>F22</f>
        <v>2673.3</v>
      </c>
      <c r="G21" s="39">
        <v>2.72</v>
      </c>
      <c r="H21" s="6">
        <f t="shared" si="4"/>
        <v>3.34</v>
      </c>
      <c r="I21" s="1">
        <f>ROUND(F21*H21,2)</f>
        <v>8928.82</v>
      </c>
    </row>
    <row r="22" spans="1:9" ht="22.5">
      <c r="A22" s="4" t="s">
        <v>68</v>
      </c>
      <c r="B22" s="35">
        <v>11457</v>
      </c>
      <c r="C22" s="35" t="s">
        <v>59</v>
      </c>
      <c r="D22" s="5" t="s">
        <v>65</v>
      </c>
      <c r="E22" s="3" t="s">
        <v>6</v>
      </c>
      <c r="F22" s="40">
        <f>2673.3</f>
        <v>2673.3</v>
      </c>
      <c r="G22" s="39">
        <v>84.67</v>
      </c>
      <c r="H22" s="6">
        <f t="shared" si="4"/>
        <v>104.04</v>
      </c>
      <c r="I22" s="1">
        <f>ROUND(F22*H22,2)</f>
        <v>278130.13</v>
      </c>
    </row>
    <row r="23" spans="1:9">
      <c r="A23" s="4" t="s">
        <v>69</v>
      </c>
      <c r="B23" s="35">
        <v>94265</v>
      </c>
      <c r="C23" s="35" t="s">
        <v>39</v>
      </c>
      <c r="D23" s="5" t="s">
        <v>54</v>
      </c>
      <c r="E23" s="3" t="s">
        <v>48</v>
      </c>
      <c r="F23" s="40">
        <v>2520</v>
      </c>
      <c r="G23" s="39">
        <v>46.03</v>
      </c>
      <c r="H23" s="6">
        <f t="shared" si="4"/>
        <v>56.56</v>
      </c>
      <c r="I23" s="1">
        <f>ROUND(F23*H23,2)</f>
        <v>142531.20000000001</v>
      </c>
    </row>
    <row r="24" spans="1:9" ht="22.5">
      <c r="A24" s="4" t="s">
        <v>70</v>
      </c>
      <c r="B24" s="35">
        <v>94266</v>
      </c>
      <c r="C24" s="35" t="s">
        <v>39</v>
      </c>
      <c r="D24" s="5" t="s">
        <v>55</v>
      </c>
      <c r="E24" s="3" t="s">
        <v>48</v>
      </c>
      <c r="F24" s="40">
        <v>107.8</v>
      </c>
      <c r="G24" s="39">
        <v>51.18</v>
      </c>
      <c r="H24" s="6">
        <f t="shared" si="4"/>
        <v>62.89</v>
      </c>
      <c r="I24" s="1">
        <f>ROUND(F24*G24,2)</f>
        <v>5517.2</v>
      </c>
    </row>
    <row r="25" spans="1:9" ht="22.5">
      <c r="A25" s="4" t="s">
        <v>71</v>
      </c>
      <c r="B25" s="35">
        <v>102098</v>
      </c>
      <c r="C25" s="35" t="s">
        <v>39</v>
      </c>
      <c r="D25" s="5" t="s">
        <v>57</v>
      </c>
      <c r="E25" s="3" t="s">
        <v>10</v>
      </c>
      <c r="F25" s="40">
        <f>1551.34*0.03</f>
        <v>46.540199999999999</v>
      </c>
      <c r="G25" s="39">
        <v>1739.42</v>
      </c>
      <c r="H25" s="6">
        <f t="shared" si="4"/>
        <v>2137.4</v>
      </c>
      <c r="I25" s="1">
        <f>ROUND(F25*G25,2)</f>
        <v>80952.95</v>
      </c>
    </row>
    <row r="26" spans="1:9">
      <c r="A26" s="4" t="s">
        <v>72</v>
      </c>
      <c r="B26" s="35">
        <v>810250</v>
      </c>
      <c r="C26" s="35" t="s">
        <v>36</v>
      </c>
      <c r="D26" s="5" t="s">
        <v>47</v>
      </c>
      <c r="E26" s="3" t="s">
        <v>48</v>
      </c>
      <c r="F26" s="40">
        <f>54*4.4</f>
        <v>237.60000000000002</v>
      </c>
      <c r="G26" s="39">
        <v>42.63</v>
      </c>
      <c r="H26" s="6">
        <f t="shared" si="4"/>
        <v>52.38</v>
      </c>
      <c r="I26" s="1">
        <f>ROUND(F26*G26,2)</f>
        <v>10128.89</v>
      </c>
    </row>
    <row r="27" spans="1:9" s="29" customFormat="1">
      <c r="A27" s="26" t="s">
        <v>12</v>
      </c>
      <c r="B27" s="36"/>
      <c r="C27" s="36"/>
      <c r="D27" s="15" t="s">
        <v>73</v>
      </c>
      <c r="E27" s="27"/>
      <c r="F27" s="27"/>
      <c r="G27" s="27"/>
      <c r="H27" s="6"/>
      <c r="I27" s="30">
        <f>SUM(I28:I33)</f>
        <v>92137.21</v>
      </c>
    </row>
    <row r="28" spans="1:9" s="43" customFormat="1">
      <c r="A28" s="4" t="s">
        <v>74</v>
      </c>
      <c r="B28" s="35">
        <v>9882</v>
      </c>
      <c r="C28" s="35" t="s">
        <v>59</v>
      </c>
      <c r="D28" s="5" t="s">
        <v>62</v>
      </c>
      <c r="E28" s="3" t="s">
        <v>10</v>
      </c>
      <c r="F28" s="39">
        <f>0.12*F29</f>
        <v>92.46</v>
      </c>
      <c r="G28" s="39">
        <v>59.35</v>
      </c>
      <c r="H28" s="6">
        <f t="shared" ref="H28:H33" si="6">ROUND(G28*(1+$I$7%),2)</f>
        <v>72.930000000000007</v>
      </c>
      <c r="I28" s="1">
        <f>ROUND(F28*H28,2)</f>
        <v>6743.11</v>
      </c>
    </row>
    <row r="29" spans="1:9" s="29" customFormat="1">
      <c r="A29" s="4" t="s">
        <v>75</v>
      </c>
      <c r="B29" s="35">
        <v>100576</v>
      </c>
      <c r="C29" s="35" t="s">
        <v>39</v>
      </c>
      <c r="D29" s="5" t="s">
        <v>56</v>
      </c>
      <c r="E29" s="3" t="s">
        <v>6</v>
      </c>
      <c r="F29" s="40">
        <f>F30</f>
        <v>770.5</v>
      </c>
      <c r="G29" s="39">
        <v>2.72</v>
      </c>
      <c r="H29" s="6">
        <f t="shared" si="6"/>
        <v>3.34</v>
      </c>
      <c r="I29" s="1">
        <f>ROUND(F29*H29,2)</f>
        <v>2573.4699999999998</v>
      </c>
    </row>
    <row r="30" spans="1:9" ht="22.5">
      <c r="A30" s="4" t="s">
        <v>76</v>
      </c>
      <c r="B30" s="35">
        <v>11457</v>
      </c>
      <c r="C30" s="35" t="s">
        <v>59</v>
      </c>
      <c r="D30" s="5" t="s">
        <v>65</v>
      </c>
      <c r="E30" s="3" t="s">
        <v>6</v>
      </c>
      <c r="F30" s="40">
        <f>770.5</f>
        <v>770.5</v>
      </c>
      <c r="G30" s="39">
        <v>84.67</v>
      </c>
      <c r="H30" s="6">
        <f t="shared" si="6"/>
        <v>104.04</v>
      </c>
      <c r="I30" s="1">
        <f>ROUND(F30*H30,2)</f>
        <v>80162.820000000007</v>
      </c>
    </row>
    <row r="31" spans="1:9">
      <c r="A31" s="4" t="s">
        <v>77</v>
      </c>
      <c r="B31" s="35">
        <v>94263</v>
      </c>
      <c r="C31" s="35" t="s">
        <v>39</v>
      </c>
      <c r="D31" s="5" t="s">
        <v>82</v>
      </c>
      <c r="E31" s="3" t="s">
        <v>48</v>
      </c>
      <c r="F31" s="40">
        <f>2*13</f>
        <v>26</v>
      </c>
      <c r="G31" s="39">
        <v>36.36</v>
      </c>
      <c r="H31" s="6">
        <f t="shared" si="6"/>
        <v>44.68</v>
      </c>
      <c r="I31" s="1">
        <f>ROUND(F31*H31,2)</f>
        <v>1161.68</v>
      </c>
    </row>
    <row r="32" spans="1:9" ht="22.5">
      <c r="A32" s="4" t="s">
        <v>78</v>
      </c>
      <c r="B32" s="35">
        <v>102098</v>
      </c>
      <c r="C32" s="35" t="s">
        <v>39</v>
      </c>
      <c r="D32" s="5" t="s">
        <v>57</v>
      </c>
      <c r="E32" s="3" t="s">
        <v>10</v>
      </c>
      <c r="F32" s="40">
        <f>F31*0.6*0.03</f>
        <v>0.46799999999999997</v>
      </c>
      <c r="G32" s="39">
        <v>1739.42</v>
      </c>
      <c r="H32" s="6">
        <f t="shared" si="6"/>
        <v>2137.4</v>
      </c>
      <c r="I32" s="1">
        <f>ROUND(F32*G32,2)</f>
        <v>814.05</v>
      </c>
    </row>
    <row r="33" spans="1:9">
      <c r="A33" s="4" t="s">
        <v>72</v>
      </c>
      <c r="B33" s="35">
        <v>810250</v>
      </c>
      <c r="C33" s="35" t="s">
        <v>36</v>
      </c>
      <c r="D33" s="5" t="s">
        <v>81</v>
      </c>
      <c r="E33" s="3" t="s">
        <v>48</v>
      </c>
      <c r="F33" s="40">
        <f>2*8</f>
        <v>16</v>
      </c>
      <c r="G33" s="39">
        <v>42.63</v>
      </c>
      <c r="H33" s="6">
        <f t="shared" si="6"/>
        <v>52.38</v>
      </c>
      <c r="I33" s="1">
        <f>ROUND(F33*G33,2)</f>
        <v>682.08</v>
      </c>
    </row>
    <row r="34" spans="1:9">
      <c r="A34" s="4"/>
      <c r="B34" s="35"/>
      <c r="C34" s="35"/>
      <c r="D34" s="5"/>
      <c r="E34" s="3"/>
      <c r="F34" s="3"/>
      <c r="G34" s="3"/>
      <c r="H34" s="6"/>
      <c r="I34" s="1"/>
    </row>
    <row r="35" spans="1:9" s="29" customFormat="1">
      <c r="A35" s="26">
        <v>3</v>
      </c>
      <c r="B35" s="36"/>
      <c r="C35" s="36"/>
      <c r="D35" s="15" t="s">
        <v>45</v>
      </c>
      <c r="E35" s="27"/>
      <c r="F35" s="27"/>
      <c r="G35" s="27"/>
      <c r="H35" s="6">
        <f>ROUND(G35*(1+$I$7%),2)</f>
        <v>0</v>
      </c>
      <c r="I35" s="30">
        <f>SUM(I36:I37)</f>
        <v>8480.7000000000007</v>
      </c>
    </row>
    <row r="36" spans="1:9" s="43" customFormat="1">
      <c r="A36" s="4" t="s">
        <v>46</v>
      </c>
      <c r="B36" s="35">
        <v>400300</v>
      </c>
      <c r="C36" s="35" t="s">
        <v>36</v>
      </c>
      <c r="D36" s="5" t="s">
        <v>64</v>
      </c>
      <c r="E36" s="3" t="s">
        <v>38</v>
      </c>
      <c r="F36" s="40">
        <v>54</v>
      </c>
      <c r="G36" s="39">
        <v>49.76</v>
      </c>
      <c r="H36" s="6">
        <f>ROUND(G36*(1+$I$7%),2)</f>
        <v>61.15</v>
      </c>
      <c r="I36" s="1">
        <f>ROUND(F36*G36,2)</f>
        <v>2687.04</v>
      </c>
    </row>
    <row r="37" spans="1:9">
      <c r="A37" s="4" t="s">
        <v>63</v>
      </c>
      <c r="B37" s="35">
        <v>98511</v>
      </c>
      <c r="C37" s="35" t="s">
        <v>39</v>
      </c>
      <c r="D37" s="5" t="s">
        <v>49</v>
      </c>
      <c r="E37" s="3" t="s">
        <v>38</v>
      </c>
      <c r="F37" s="40">
        <v>54</v>
      </c>
      <c r="G37" s="39">
        <v>107.29</v>
      </c>
      <c r="H37" s="6">
        <f>ROUND(G37*(1+$I$7%),2)</f>
        <v>131.84</v>
      </c>
      <c r="I37" s="1">
        <f>ROUND(F37*G37,2)</f>
        <v>5793.66</v>
      </c>
    </row>
    <row r="38" spans="1:9">
      <c r="A38" s="4"/>
      <c r="B38" s="35"/>
      <c r="C38" s="35"/>
      <c r="D38" s="5"/>
      <c r="E38" s="3"/>
      <c r="F38" s="3"/>
      <c r="G38" s="3"/>
      <c r="H38" s="6"/>
      <c r="I38" s="1"/>
    </row>
    <row r="39" spans="1:9" s="29" customFormat="1">
      <c r="A39" s="26">
        <v>4</v>
      </c>
      <c r="B39" s="36"/>
      <c r="C39" s="36"/>
      <c r="D39" s="15" t="s">
        <v>13</v>
      </c>
      <c r="E39" s="27"/>
      <c r="F39" s="27"/>
      <c r="G39" s="27"/>
      <c r="H39" s="6">
        <f>ROUND(G39*(1+$I$7%),2)</f>
        <v>0</v>
      </c>
      <c r="I39" s="30">
        <f>SUM(I40)</f>
        <v>18286.580000000002</v>
      </c>
    </row>
    <row r="40" spans="1:9">
      <c r="A40" s="4" t="s">
        <v>61</v>
      </c>
      <c r="B40" s="35">
        <v>99811</v>
      </c>
      <c r="C40" s="35" t="s">
        <v>39</v>
      </c>
      <c r="D40" s="5" t="s">
        <v>44</v>
      </c>
      <c r="E40" s="3" t="s">
        <v>6</v>
      </c>
      <c r="F40" s="40">
        <f>F22+F30</f>
        <v>3443.8</v>
      </c>
      <c r="G40" s="39">
        <v>4.32</v>
      </c>
      <c r="H40" s="6">
        <f>ROUND(G40*(1+$I$7%),2)</f>
        <v>5.31</v>
      </c>
      <c r="I40" s="1">
        <f>ROUND(F40*H40,2)</f>
        <v>18286.580000000002</v>
      </c>
    </row>
    <row r="41" spans="1:9">
      <c r="A41" s="4"/>
      <c r="B41" s="4"/>
      <c r="C41" s="4"/>
      <c r="D41" s="5"/>
      <c r="E41" s="3"/>
      <c r="F41" s="6"/>
      <c r="G41" s="6"/>
      <c r="H41" s="6"/>
      <c r="I41" s="1">
        <f>ROUND(F41*G41,2)</f>
        <v>0</v>
      </c>
    </row>
    <row r="42" spans="1:9" ht="15" customHeight="1">
      <c r="A42" s="10"/>
      <c r="B42" s="10"/>
      <c r="C42" s="10"/>
      <c r="D42" s="11" t="s">
        <v>15</v>
      </c>
      <c r="E42" s="56" t="s">
        <v>14</v>
      </c>
      <c r="F42" s="56"/>
      <c r="G42" s="56"/>
      <c r="H42" s="33"/>
      <c r="I42" s="37">
        <f>I11+I18+I39+I35</f>
        <v>762477.04999999993</v>
      </c>
    </row>
    <row r="43" spans="1:9">
      <c r="A43" s="44"/>
      <c r="B43" s="44"/>
      <c r="C43" s="44"/>
      <c r="D43" s="44"/>
      <c r="E43" s="44"/>
      <c r="F43" s="44"/>
      <c r="G43" s="44"/>
      <c r="H43" s="44"/>
      <c r="I43" s="44"/>
    </row>
    <row r="44" spans="1:9">
      <c r="A44" s="44"/>
      <c r="B44" s="44"/>
      <c r="C44" s="44"/>
      <c r="D44" s="44"/>
      <c r="E44" s="44"/>
      <c r="F44" s="44"/>
      <c r="G44" s="44"/>
      <c r="H44" s="44"/>
      <c r="I44" s="44"/>
    </row>
    <row r="45" spans="1:9">
      <c r="A45" s="44"/>
      <c r="B45" s="44"/>
      <c r="C45" s="44"/>
      <c r="D45" s="44"/>
      <c r="E45" s="44"/>
      <c r="F45" s="44"/>
      <c r="G45" s="44"/>
      <c r="H45" s="44"/>
      <c r="I45" s="44"/>
    </row>
    <row r="46" spans="1:9">
      <c r="A46" s="44"/>
      <c r="B46" s="44"/>
      <c r="C46" s="44"/>
      <c r="D46" s="44"/>
      <c r="E46" s="44"/>
      <c r="F46" s="44"/>
      <c r="G46" s="44"/>
      <c r="H46" s="44"/>
      <c r="I46" s="44"/>
    </row>
  </sheetData>
  <mergeCells count="9">
    <mergeCell ref="A43:I46"/>
    <mergeCell ref="A1:I5"/>
    <mergeCell ref="A6:I6"/>
    <mergeCell ref="E42:G42"/>
    <mergeCell ref="A7:C7"/>
    <mergeCell ref="A8:C8"/>
    <mergeCell ref="E7:G8"/>
    <mergeCell ref="H7:H8"/>
    <mergeCell ref="I7:I8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K18" sqref="K18"/>
    </sheetView>
  </sheetViews>
  <sheetFormatPr defaultRowHeight="15"/>
  <cols>
    <col min="1" max="1" width="10.5703125" customWidth="1"/>
    <col min="2" max="2" width="38.85546875" customWidth="1"/>
    <col min="3" max="3" width="13.7109375" bestFit="1" customWidth="1"/>
    <col min="4" max="7" width="13.7109375" customWidth="1"/>
    <col min="8" max="8" width="13.7109375" bestFit="1" customWidth="1"/>
  </cols>
  <sheetData>
    <row r="1" spans="1:8">
      <c r="A1" s="69" t="s">
        <v>31</v>
      </c>
      <c r="B1" s="70"/>
      <c r="C1" s="70"/>
      <c r="D1" s="70"/>
      <c r="E1" s="70"/>
      <c r="F1" s="70"/>
      <c r="G1" s="70"/>
      <c r="H1" s="71"/>
    </row>
    <row r="2" spans="1:8">
      <c r="A2" s="72"/>
      <c r="B2" s="73"/>
      <c r="C2" s="73"/>
      <c r="D2" s="73"/>
      <c r="E2" s="73"/>
      <c r="F2" s="73"/>
      <c r="G2" s="73"/>
      <c r="H2" s="74"/>
    </row>
    <row r="3" spans="1:8">
      <c r="A3" s="72"/>
      <c r="B3" s="73"/>
      <c r="C3" s="73"/>
      <c r="D3" s="73"/>
      <c r="E3" s="73"/>
      <c r="F3" s="73"/>
      <c r="G3" s="73"/>
      <c r="H3" s="74"/>
    </row>
    <row r="4" spans="1:8">
      <c r="A4" s="72"/>
      <c r="B4" s="73"/>
      <c r="C4" s="73"/>
      <c r="D4" s="73"/>
      <c r="E4" s="73"/>
      <c r="F4" s="73"/>
      <c r="G4" s="73"/>
      <c r="H4" s="74"/>
    </row>
    <row r="5" spans="1:8">
      <c r="A5" s="75"/>
      <c r="B5" s="76"/>
      <c r="C5" s="76"/>
      <c r="D5" s="76"/>
      <c r="E5" s="76"/>
      <c r="F5" s="76"/>
      <c r="G5" s="76"/>
      <c r="H5" s="77"/>
    </row>
    <row r="6" spans="1:8" ht="16.5">
      <c r="A6" s="78" t="s">
        <v>19</v>
      </c>
      <c r="B6" s="78"/>
      <c r="C6" s="78"/>
      <c r="D6" s="78"/>
      <c r="E6" s="78"/>
      <c r="F6" s="78"/>
      <c r="G6" s="78"/>
      <c r="H6" s="78"/>
    </row>
    <row r="7" spans="1:8" ht="15.75" customHeight="1">
      <c r="A7" s="12" t="s">
        <v>17</v>
      </c>
      <c r="B7" s="79" t="s">
        <v>40</v>
      </c>
      <c r="C7" s="79"/>
      <c r="D7" s="79"/>
      <c r="E7" s="79"/>
      <c r="F7" s="79"/>
      <c r="G7" s="79"/>
      <c r="H7" s="79"/>
    </row>
    <row r="8" spans="1:8">
      <c r="A8" s="12" t="s">
        <v>18</v>
      </c>
      <c r="B8" s="79" t="s">
        <v>41</v>
      </c>
      <c r="C8" s="79"/>
      <c r="D8" s="79"/>
      <c r="E8" s="79"/>
      <c r="F8" s="79"/>
      <c r="G8" s="79"/>
      <c r="H8" s="79"/>
    </row>
    <row r="9" spans="1:8">
      <c r="A9" s="17" t="s">
        <v>0</v>
      </c>
      <c r="B9" s="13" t="s">
        <v>1</v>
      </c>
      <c r="C9" s="18" t="s">
        <v>20</v>
      </c>
      <c r="D9" s="18" t="s">
        <v>21</v>
      </c>
      <c r="E9" s="18" t="s">
        <v>50</v>
      </c>
      <c r="F9" s="18" t="s">
        <v>51</v>
      </c>
      <c r="G9" s="18" t="s">
        <v>52</v>
      </c>
      <c r="H9" s="18" t="s">
        <v>53</v>
      </c>
    </row>
    <row r="10" spans="1:8">
      <c r="A10" s="19"/>
      <c r="B10" s="14"/>
      <c r="C10" s="20"/>
      <c r="D10" s="20"/>
      <c r="E10" s="20"/>
      <c r="F10" s="20"/>
      <c r="G10" s="20"/>
      <c r="H10" s="20"/>
    </row>
    <row r="11" spans="1:8">
      <c r="A11" s="21">
        <v>1</v>
      </c>
      <c r="B11" s="15" t="s">
        <v>43</v>
      </c>
      <c r="C11" s="31">
        <f>'planilha orçamentária'!I11</f>
        <v>78390.62</v>
      </c>
      <c r="D11" s="31"/>
      <c r="E11" s="31"/>
      <c r="F11" s="31"/>
      <c r="G11" s="31"/>
      <c r="H11" s="22"/>
    </row>
    <row r="12" spans="1:8">
      <c r="A12" s="21">
        <v>2</v>
      </c>
      <c r="B12" s="41" t="s">
        <v>42</v>
      </c>
      <c r="C12" s="10"/>
      <c r="D12" s="31">
        <f>0.25*('planilha orçamentária'!I18)</f>
        <v>164329.78750000001</v>
      </c>
      <c r="E12" s="31">
        <f>0.25*('planilha orçamentária'!I18)</f>
        <v>164329.78750000001</v>
      </c>
      <c r="F12" s="31">
        <f>0.25*('planilha orçamentária'!I18)</f>
        <v>164329.78750000001</v>
      </c>
      <c r="G12" s="31">
        <f>0.25*('planilha orçamentária'!I18)</f>
        <v>164329.78750000001</v>
      </c>
      <c r="H12" s="10"/>
    </row>
    <row r="13" spans="1:8">
      <c r="A13" s="21">
        <v>3</v>
      </c>
      <c r="B13" s="41" t="s">
        <v>45</v>
      </c>
      <c r="C13" s="10"/>
      <c r="D13" s="31"/>
      <c r="E13" s="31"/>
      <c r="F13" s="31"/>
      <c r="G13" s="31">
        <f>0.5*('planilha orçamentária'!I35)</f>
        <v>4240.3500000000004</v>
      </c>
      <c r="H13" s="31">
        <f>0.5*('planilha orçamentária'!I35)</f>
        <v>4240.3500000000004</v>
      </c>
    </row>
    <row r="14" spans="1:8">
      <c r="A14" s="21">
        <v>4</v>
      </c>
      <c r="B14" s="15" t="s">
        <v>22</v>
      </c>
      <c r="C14" s="22"/>
      <c r="D14" s="22"/>
      <c r="E14" s="22"/>
      <c r="F14" s="22"/>
      <c r="G14" s="22"/>
      <c r="H14" s="31">
        <f>'planilha orçamentária'!I39</f>
        <v>18286.580000000002</v>
      </c>
    </row>
    <row r="15" spans="1:8">
      <c r="A15" s="80"/>
      <c r="B15" s="25" t="s">
        <v>23</v>
      </c>
      <c r="C15" s="32">
        <f>SUM(C11:C14)</f>
        <v>78390.62</v>
      </c>
      <c r="D15" s="32">
        <f t="shared" ref="D15:G15" si="0">SUM(D11:D14)</f>
        <v>164329.78750000001</v>
      </c>
      <c r="E15" s="32">
        <f t="shared" si="0"/>
        <v>164329.78750000001</v>
      </c>
      <c r="F15" s="32">
        <f t="shared" si="0"/>
        <v>164329.78750000001</v>
      </c>
      <c r="G15" s="32">
        <f t="shared" si="0"/>
        <v>168570.13750000001</v>
      </c>
      <c r="H15" s="32">
        <f>SUM(H11:H14)</f>
        <v>22526.93</v>
      </c>
    </row>
    <row r="16" spans="1:8">
      <c r="A16" s="81"/>
      <c r="B16" s="25" t="s">
        <v>24</v>
      </c>
      <c r="C16" s="24">
        <f>(C15/$C$19)</f>
        <v>0.10281046491825555</v>
      </c>
      <c r="D16" s="24">
        <f t="shared" ref="D16:H16" si="1">(D15/$C$19)</f>
        <v>0.21552096223748632</v>
      </c>
      <c r="E16" s="24">
        <f t="shared" si="1"/>
        <v>0.21552096223748632</v>
      </c>
      <c r="F16" s="24">
        <f t="shared" si="1"/>
        <v>0.21552096223748632</v>
      </c>
      <c r="G16" s="24">
        <f t="shared" si="1"/>
        <v>0.22108224437706023</v>
      </c>
      <c r="H16" s="24">
        <f t="shared" si="1"/>
        <v>2.954440399222507E-2</v>
      </c>
    </row>
    <row r="17" spans="1:8">
      <c r="A17" s="81"/>
      <c r="B17" s="25" t="s">
        <v>25</v>
      </c>
      <c r="C17" s="23">
        <f>C15</f>
        <v>78390.62</v>
      </c>
      <c r="D17" s="23">
        <f>SUM(C15:D15)</f>
        <v>242720.4075</v>
      </c>
      <c r="E17" s="23">
        <f>SUM(C15:E15)</f>
        <v>407050.19500000001</v>
      </c>
      <c r="F17" s="23">
        <f>SUM(C15:F15)</f>
        <v>571379.98250000004</v>
      </c>
      <c r="G17" s="23">
        <f>SUM(C15:G15)</f>
        <v>739950.12000000011</v>
      </c>
      <c r="H17" s="23">
        <f>SUM(C15:H15)</f>
        <v>762477.05000000016</v>
      </c>
    </row>
    <row r="18" spans="1:8">
      <c r="A18" s="81"/>
      <c r="B18" s="25" t="s">
        <v>26</v>
      </c>
      <c r="C18" s="24">
        <f>C17/$C$19</f>
        <v>0.10281046491825555</v>
      </c>
      <c r="D18" s="24">
        <f t="shared" ref="D18:H18" si="2">D17/$C$19</f>
        <v>0.31833142715574186</v>
      </c>
      <c r="E18" s="24">
        <f t="shared" si="2"/>
        <v>0.53385238939322821</v>
      </c>
      <c r="F18" s="24">
        <f t="shared" si="2"/>
        <v>0.7493733516307145</v>
      </c>
      <c r="G18" s="24">
        <f t="shared" si="2"/>
        <v>0.97045559600777487</v>
      </c>
      <c r="H18" s="24">
        <f t="shared" si="2"/>
        <v>1</v>
      </c>
    </row>
    <row r="19" spans="1:8">
      <c r="A19" s="81"/>
      <c r="B19" s="16" t="s">
        <v>15</v>
      </c>
      <c r="C19" s="67">
        <f>SUM(C15:H15)</f>
        <v>762477.05000000016</v>
      </c>
      <c r="D19" s="67"/>
      <c r="E19" s="67"/>
      <c r="F19" s="67"/>
      <c r="G19" s="67"/>
      <c r="H19" s="67"/>
    </row>
    <row r="20" spans="1:8">
      <c r="A20" s="68"/>
      <c r="B20" s="68"/>
      <c r="C20" s="68"/>
      <c r="D20" s="68"/>
      <c r="E20" s="68"/>
      <c r="F20" s="68"/>
      <c r="G20" s="68"/>
      <c r="H20" s="68"/>
    </row>
    <row r="21" spans="1:8">
      <c r="A21" s="68"/>
      <c r="B21" s="68"/>
      <c r="C21" s="68"/>
      <c r="D21" s="68"/>
      <c r="E21" s="68"/>
      <c r="F21" s="68"/>
      <c r="G21" s="68"/>
      <c r="H21" s="68"/>
    </row>
    <row r="22" spans="1:8">
      <c r="A22" s="68"/>
      <c r="B22" s="68"/>
      <c r="C22" s="68"/>
      <c r="D22" s="68"/>
      <c r="E22" s="68"/>
      <c r="F22" s="68"/>
      <c r="G22" s="68"/>
      <c r="H22" s="68"/>
    </row>
    <row r="23" spans="1:8">
      <c r="A23" s="68"/>
      <c r="B23" s="68"/>
      <c r="C23" s="68"/>
      <c r="D23" s="68"/>
      <c r="E23" s="68"/>
      <c r="F23" s="68"/>
      <c r="G23" s="68"/>
      <c r="H23" s="68"/>
    </row>
  </sheetData>
  <mergeCells count="7">
    <mergeCell ref="C19:H19"/>
    <mergeCell ref="A20:H23"/>
    <mergeCell ref="A1:H5"/>
    <mergeCell ref="A6:H6"/>
    <mergeCell ref="B7:H7"/>
    <mergeCell ref="B8:H8"/>
    <mergeCell ref="A15:A1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77"/>
  <sheetViews>
    <sheetView workbookViewId="0">
      <selection activeCell="P21" sqref="P21"/>
    </sheetView>
  </sheetViews>
  <sheetFormatPr defaultRowHeight="15"/>
  <sheetData>
    <row r="1" spans="1:30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</row>
    <row r="2" spans="1:30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</row>
    <row r="5" spans="1:30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</row>
    <row r="6" spans="1:30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</row>
    <row r="7" spans="1:30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</row>
    <row r="8" spans="1:30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</row>
    <row r="9" spans="1:30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</row>
    <row r="10" spans="1:30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</row>
    <row r="11" spans="1:30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</row>
    <row r="12" spans="1:30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</row>
    <row r="13" spans="1:30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</row>
    <row r="14" spans="1:30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</row>
    <row r="15" spans="1:30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</row>
    <row r="16" spans="1:30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</row>
    <row r="17" spans="1:30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</row>
    <row r="18" spans="1:30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</row>
    <row r="19" spans="1:30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</row>
    <row r="20" spans="1:30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</row>
    <row r="21" spans="1:30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</row>
    <row r="22" spans="1:30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</row>
    <row r="23" spans="1:30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</row>
    <row r="24" spans="1:30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</row>
    <row r="25" spans="1:30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</row>
    <row r="26" spans="1:30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</row>
    <row r="27" spans="1:30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</row>
    <row r="28" spans="1:30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</row>
    <row r="29" spans="1:30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</row>
    <row r="30" spans="1:30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</row>
    <row r="31" spans="1:30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</row>
    <row r="32" spans="1:30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</row>
    <row r="33" spans="1:30">
      <c r="A33" s="82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</row>
    <row r="34" spans="1:30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</row>
    <row r="35" spans="1:30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</row>
    <row r="36" spans="1:30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</row>
    <row r="37" spans="1:30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</row>
    <row r="38" spans="1:30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</row>
    <row r="39" spans="1:30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</row>
    <row r="40" spans="1:30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</row>
    <row r="41" spans="1:30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</row>
    <row r="42" spans="1:30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</row>
    <row r="43" spans="1:30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</row>
    <row r="44" spans="1:30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</row>
    <row r="45" spans="1:30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</row>
    <row r="46" spans="1:30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</row>
    <row r="47" spans="1:30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</row>
    <row r="48" spans="1:30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</row>
    <row r="49" spans="1:30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</row>
    <row r="50" spans="1:30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</row>
    <row r="51" spans="1:30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</row>
    <row r="52" spans="1:30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</row>
    <row r="53" spans="1:30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</row>
    <row r="54" spans="1:30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</row>
    <row r="55" spans="1:30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</row>
    <row r="56" spans="1:30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</row>
    <row r="57" spans="1:30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</row>
    <row r="58" spans="1:30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</row>
    <row r="59" spans="1:30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</row>
    <row r="60" spans="1:30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</row>
    <row r="61" spans="1:30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</row>
    <row r="62" spans="1:30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</row>
    <row r="63" spans="1:30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</row>
    <row r="64" spans="1:30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</row>
    <row r="65" spans="1:30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</row>
    <row r="66" spans="1:30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</row>
    <row r="67" spans="1:30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</row>
    <row r="68" spans="1:30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</row>
    <row r="69" spans="1:30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</row>
    <row r="70" spans="1:30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</row>
    <row r="71" spans="1:30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</row>
    <row r="72" spans="1:30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</row>
    <row r="73" spans="1:30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</row>
    <row r="74" spans="1:30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</row>
    <row r="75" spans="1:30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</row>
    <row r="76" spans="1:30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</row>
    <row r="77" spans="1:30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</row>
  </sheetData>
  <mergeCells count="1">
    <mergeCell ref="A1:N3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</vt:lpstr>
      <vt:lpstr>cronograma</vt:lpstr>
      <vt:lpstr>BDI</vt:lpstr>
      <vt:lpstr>BDI!Area_de_impressao</vt:lpstr>
      <vt:lpstr>'planilha orçamentária'!Area_de_impressao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Engenharia</cp:lastModifiedBy>
  <cp:lastPrinted>2024-01-03T12:47:54Z</cp:lastPrinted>
  <dcterms:created xsi:type="dcterms:W3CDTF">2017-05-11T18:28:48Z</dcterms:created>
  <dcterms:modified xsi:type="dcterms:W3CDTF">2024-01-03T15:43:36Z</dcterms:modified>
</cp:coreProperties>
</file>